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<sst xmlns="http://schemas.openxmlformats.org/spreadsheetml/2006/main" count="1994" uniqueCount="691">
  <si>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</si>
  <si>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</si>
  <si>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</si>
  <si>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</si>
  <si>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</si>
  <si>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</si>
  <si>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</si>
  <si>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</si>
  <si>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</si>
  <si>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</si>
  <si>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</si>
  <si>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</si>
  <si>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</si>
  <si>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</si>
  <si>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</si>
  <si>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</si>
  <si>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</si>
  <si>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</si>
  <si>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</si>
  <si>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</si>
  <si>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</si>
  <si>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</si>
  <si>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</si>
  <si>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</si>
  <si>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</si>
  <si>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</si>
  <si>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</si>
  <si>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</si>
  <si>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</si>
  <si>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</si>
  <si>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</si>
  <si>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</si>
  <si>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</si>
  <si>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</si>
  <si>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</si>
  <si>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</si>
  <si>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</si>
  <si>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</si>
  <si>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</si>
  <si>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</si>
  <si>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</si>
  <si>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</si>
  <si>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</si>
  <si>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</si>
  <si>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</si>
  <si>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</si>
  <si>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</si>
  <si>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</si>
  <si>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</si>
  <si>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</si>
  <si>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</si>
  <si>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</si>
  <si>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</si>
  <si>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</si>
  <si>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</si>
  <si>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</si>
  <si>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</si>
  <si>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</si>
  <si>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</si>
  <si>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</si>
  <si>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</si>
  <si>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</si>
  <si>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</si>
  <si>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</si>
  <si>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</si>
  <si>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</si>
  <si>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</si>
  <si>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</si>
  <si>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</si>
  <si>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</si>
  <si>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</si>
  <si>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</si>
  <si>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</si>
  <si>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</si>
  <si>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</si>
  <si>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</si>
  <si>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</si>
  <si>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</si>
  <si>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</si>
  <si>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</si>
  <si>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</si>
  <si>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</si>
  <si>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</si>
  <si>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</si>
  <si>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</si>
  <si>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</si>
  <si>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</si>
  <si>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</si>
  <si>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</si>
  <si>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</si>
  <si>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</si>
  <si>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</si>
  <si>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</si>
  <si>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</si>
  <si>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</si>
  <si>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</si>
  <si>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</si>
  <si>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</si>
  <si>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</si>
  <si>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</si>
  <si>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</si>
  <si>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</si>
  <si>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</si>
  <si>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</si>
  <si>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</si>
  <si>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</si>
  <si>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</si>
  <si>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</si>
  <si>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</si>
  <si>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</si>
  <si>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</si>
  <si>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</si>
  <si>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</si>
  <si>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</si>
  <si>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</si>
  <si>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</si>
  <si>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</si>
  <si>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</si>
  <si>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</si>
  <si>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</si>
  <si>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</si>
  <si>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</si>
  <si>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</si>
  <si>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</si>
  <si>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</si>
  <si>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</si>
  <si>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</si>
  <si>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</si>
  <si>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</si>
  <si>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</si>
  <si>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</si>
  <si>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</si>
  <si>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</si>
  <si>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</si>
  <si>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</si>
  <si>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</si>
  <si>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</si>
  <si>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</si>
  <si>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</si>
  <si>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</si>
  <si>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</si>
  <si>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</si>
  <si>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</si>
  <si>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</si>
  <si>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</si>
  <si>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</si>
  <si>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</si>
  <si>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</si>
  <si>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</si>
  <si>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</si>
  <si>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</si>
  <si>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</si>
  <si>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</si>
  <si>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</si>
  <si>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</si>
  <si>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</si>
  <si>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</si>
  <si>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</si>
  <si>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</si>
  <si>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</si>
  <si>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</si>
  <si>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</si>
  <si>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</si>
  <si>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</si>
  <si>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</si>
  <si>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</si>
  <si>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</si>
  <si>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</si>
  <si>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</si>
  <si>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</si>
  <si>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</si>
  <si>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</si>
  <si>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</si>
  <si>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</si>
  <si>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</si>
  <si>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</si>
  <si>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</si>
  <si>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</si>
  <si>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</si>
  <si>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</si>
  <si>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</si>
  <si>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</si>
  <si>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</si>
  <si>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</si>
  <si>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</si>
  <si>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</si>
  <si>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</si>
  <si>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</si>
  <si>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</si>
  <si>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</si>
  <si>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</si>
  <si>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</si>
  <si>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</si>
  <si>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</si>
  <si>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</si>
  <si>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</si>
  <si>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</si>
  <si>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</si>
  <si>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</si>
  <si>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</si>
  <si>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</si>
  <si>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</si>
  <si>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</si>
  <si>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</si>
  <si>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</si>
  <si>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</si>
  <si>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</si>
  <si>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</si>
  <si>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</si>
  <si>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</si>
  <si>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</si>
  <si>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</si>
  <si>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</si>
  <si>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</si>
  <si>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</si>
  <si>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</si>
  <si>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</si>
  <si>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</si>
  <si>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</si>
  <si>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</si>
  <si>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</si>
  <si>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</si>
  <si>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</si>
  <si>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</si>
  <si>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</si>
  <si>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</si>
  <si>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</si>
  <si>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</si>
  <si>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</si>
  <si>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</si>
  <si>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</si>
  <si>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</si>
  <si>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</si>
  <si>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</si>
  <si>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</si>
  <si>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</si>
  <si>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</si>
  <si>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</si>
  <si>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</si>
  <si>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</si>
  <si>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</si>
  <si>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</si>
  <si>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</si>
  <si>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</si>
  <si>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</si>
  <si>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</si>
  <si>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</si>
  <si>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</si>
  <si>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</si>
  <si>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</si>
  <si>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</si>
  <si>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</si>
  <si>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</si>
  <si>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</si>
  <si>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</si>
  <si>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</si>
  <si>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</si>
  <si>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</si>
  <si>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</si>
  <si>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</si>
  <si>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</si>
  <si>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</si>
  <si>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</si>
  <si>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</si>
  <si>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</si>
  <si>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</si>
  <si>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</si>
  <si>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</si>
  <si>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</si>
  <si>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</si>
  <si>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</si>
  <si>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</si>
  <si>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</si>
  <si>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</si>
  <si>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</si>
  <si>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</si>
  <si>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</si>
  <si>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</si>
  <si>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</si>
  <si>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</si>
  <si>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</si>
  <si>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</si>
  <si>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</si>
  <si>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</si>
  <si>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</si>
  <si>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</si>
  <si>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</si>
  <si>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</si>
  <si>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</si>
  <si>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</si>
  <si>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</si>
  <si>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</si>
  <si>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</si>
  <si>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</si>
  <si>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</si>
  <si>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</si>
  <si>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</si>
  <si>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</si>
  <si>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</si>
  <si>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</si>
  <si>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</si>
  <si>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</si>
  <si>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</si>
  <si>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</si>
  <si>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</si>
  <si>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</si>
  <si>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</si>
  <si>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</si>
  <si>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</si>
  <si>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</si>
  <si>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</si>
  <si>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</si>
  <si>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</si>
  <si>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</si>
  <si>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</si>
  <si>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</si>
  <si>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</si>
  <si>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</si>
  <si>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</si>
  <si>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</si>
  <si>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</si>
  <si>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</si>
  <si>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</si>
  <si>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</si>
  <si>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</si>
  <si>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</si>
  <si>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</si>
  <si>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</si>
  <si>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</si>
  <si>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</si>
  <si>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</si>
  <si>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</si>
  <si>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</si>
  <si>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</si>
  <si>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</si>
  <si>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</si>
  <si>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</si>
  <si>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</si>
  <si>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</si>
  <si>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</si>
  <si>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</si>
  <si>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</si>
  <si>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</si>
  <si>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</si>
  <si>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</si>
  <si>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</si>
  <si>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</si>
  <si>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</si>
  <si>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</si>
  <si>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</si>
  <si>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</si>
  <si>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</si>
  <si>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</si>
  <si>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</si>
  <si>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</si>
  <si>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</si>
  <si>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</si>
  <si>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</si>
  <si>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</si>
  <si>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</si>
  <si>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</si>
  <si>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</si>
  <si>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</si>
  <si>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</si>
  <si>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</si>
  <si>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</si>
  <si>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</si>
  <si>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</si>
  <si>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</si>
  <si>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</si>
  <si>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</si>
  <si>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</si>
  <si>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</si>
  <si>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</si>
  <si>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</si>
  <si>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</si>
  <si>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</si>
  <si>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</si>
  <si>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</si>
  <si>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</si>
  <si>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</si>
  <si>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</si>
  <si>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</si>
  <si>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</si>
  <si>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</si>
  <si>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</si>
  <si>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</si>
  <si>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</si>
  <si>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</si>
  <si>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</si>
  <si>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</si>
  <si>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</si>
  <si>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</si>
  <si>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</si>
  <si>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</si>
  <si>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</si>
  <si>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</si>
  <si>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</si>
  <si>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</si>
  <si>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</si>
  <si>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</si>
  <si>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</si>
  <si>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</si>
  <si>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</si>
  <si>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</si>
  <si>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</si>
  <si>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</si>
  <si>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</si>
  <si>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</si>
  <si>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</si>
  <si>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</si>
  <si>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</si>
  <si>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</si>
  <si>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</si>
  <si>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</si>
  <si>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</si>
  <si>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</si>
  <si>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</si>
  <si>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</si>
  <si>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</si>
  <si>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</si>
  <si>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</si>
  <si>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</si>
  <si>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</si>
  <si>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</si>
  <si>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</si>
  <si>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</si>
  <si>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</si>
  <si>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</si>
  <si>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</si>
  <si>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</si>
  <si>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</si>
  <si>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</si>
  <si>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</si>
  <si>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</si>
  <si>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</si>
  <si>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</si>
  <si>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</si>
  <si>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</si>
  <si>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</si>
  <si>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</si>
  <si>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</si>
  <si>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</si>
  <si>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</si>
  <si>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</si>
  <si>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</si>
  <si>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</si>
  <si>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</si>
  <si>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</si>
  <si>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</si>
  <si>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</si>
  <si>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</si>
  <si>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</si>
  <si>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</si>
  <si>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</si>
  <si>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</si>
  <si>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</si>
  <si>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</si>
  <si>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</si>
  <si>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</si>
  <si>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</si>
  <si>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</si>
  <si>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</si>
  <si>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</si>
  <si>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</si>
  <si>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</si>
  <si>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</si>
  <si>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</si>
  <si>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</si>
  <si>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</si>
  <si>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</si>
  <si>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</si>
  <si>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</si>
  <si>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</si>
  <si>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</si>
  <si>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</si>
  <si>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</si>
  <si>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</si>
  <si>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</si>
  <si>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</si>
  <si>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</si>
  <si>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</si>
  <si>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</si>
  <si>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</si>
  <si>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</si>
  <si>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</si>
  <si>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</si>
  <si>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</si>
  <si>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</si>
  <si>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</si>
  <si>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</si>
  <si>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</si>
  <si>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</si>
  <si>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</si>
  <si>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</si>
  <si>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</si>
  <si>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</si>
  <si>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</si>
  <si>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</si>
  <si>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</si>
  <si>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</si>
  <si>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</si>
  <si>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</si>
  <si>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</si>
  <si>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</si>
  <si>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</si>
  <si>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</si>
  <si>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</si>
  <si>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</si>
  <si>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</si>
  <si>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</si>
  <si>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</si>
  <si>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</si>
  <si>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</si>
  <si>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</si>
  <si>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</si>
  <si>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</si>
  <si>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</si>
  <si>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</si>
  <si>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</si>
  <si>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</si>
  <si>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</si>
  <si>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</si>
  <si>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</si>
  <si>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</si>
  <si>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</si>
  <si>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</si>
  <si>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</si>
  <si>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</si>
  <si>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</si>
  <si>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</si>
  <si>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</si>
  <si>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</si>
  <si>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</si>
  <si>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</si>
  <si>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</si>
  <si>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</si>
  <si>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</si>
  <si>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</si>
  <si>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</si>
  <si>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</si>
  <si>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</si>
  <si>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</si>
  <si>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</si>
  <si>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</si>
  <si>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</si>
  <si>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</si>
  <si>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</si>
  <si>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</si>
  <si>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</si>
  <si>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</si>
  <si>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</si>
  <si>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</si>
  <si>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</si>
  <si>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</si>
  <si>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</si>
  <si>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</si>
  <si>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</si>
  <si>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</si>
  <si>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</si>
  <si>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</si>
  <si>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</si>
  <si>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</si>
  <si>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</si>
  <si>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</si>
  <si>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</si>
  <si>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</si>
  <si>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</si>
  <si>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</si>
  <si>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</si>
  <si>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</si>
  <si>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</si>
  <si>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</si>
  <si>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</si>
  <si>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</si>
  <si>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</si>
  <si>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</si>
  <si>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</si>
  <si>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</si>
  <si>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</si>
  <si>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</si>
  <si>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</si>
  <si>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</si>
  <si>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</si>
  <si>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</si>
  <si>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</si>
  <si>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</si>
  <si>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</si>
  <si>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</si>
  <si>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</si>
  <si>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</si>
  <si>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</si>
  <si>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</si>
  <si>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</si>
  <si>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</si>
  <si>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</si>
  <si>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</si>
  <si>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</si>
  <si>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</si>
  <si>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</si>
  <si>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</si>
  <si>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</si>
  <si>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</si>
  <si>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</si>
  <si>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</si>
  <si>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</si>
  <si>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</si>
  <si>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</si>
  <si>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</si>
  <si>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</si>
  <si>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</si>
  <si>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</si>
  <si>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</si>
  <si>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</si>
  <si>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</si>
  <si>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</si>
  <si>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</si>
  <si>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</si>
  <si>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</si>
  <si>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</si>
  <si>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</si>
  <si>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</si>
  <si>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</si>
  <si>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</si>
  <si>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</si>
  <si>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</si>
  <si>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</si>
  <si>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</si>
  <si>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</si>
  <si>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</si>
  <si>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</si>
  <si>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</si>
  <si>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</si>
  <si>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</si>
  <si>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</si>
  <si>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</si>
  <si>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</si>
  <si>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</si>
  <si>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</si>
  <si>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</si>
  <si>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</si>
  <si>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</si>
  <si>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</si>
  <si>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</si>
  <si>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</si>
  <si>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</si>
  <si>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</si>
  <si>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</si>
  <si>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</si>
  <si>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</si>
  <si>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</si>
  <si>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</si>
  <si>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</si>
  <si>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</si>
  <si>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</si>
  <si>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</si>
  <si>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</si>
  <si>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</si>
  <si>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</si>
  <si>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</si>
  <si>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</si>
  <si>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</si>
  <si>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</si>
  <si>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</si>
  <si>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</si>
  <si>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</si>
  <si>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</si>
  <si>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</si>
  <si>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</si>
  <si>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</si>
  <si>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</si>
  <si>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</si>
  <si>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</si>
  <si>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</si>
  <si>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</si>
  <si>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</si>
  <si>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</si>
  <si>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</si>
  <si>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</si>
  <si>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</si>
  <si>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</si>
  <si>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</si>
  <si>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</si>
  <si>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</si>
  <si>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</si>
  <si>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</si>
  <si>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</si>
  <si>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</si>
  <si>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</si>
  <si>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Марина Кейп Турс ЕООД</t>
  </si>
  <si>
    <t>Радостина Пантелеева и Недялко Динев</t>
  </si>
</sst>
</file>

<file path=xl/styles.xml><?xml version="1.0" encoding="utf-8"?>
<styleSheet xmlns="http://schemas.openxmlformats.org/spreadsheetml/2006/main">
  <numFmts count="4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43936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"Оптима одит"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43936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G12" sqref="G12:H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330</v>
      </c>
      <c r="D13" s="138">
        <v>335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8">
        <v>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79</v>
      </c>
      <c r="D16" s="138">
        <v>85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414</v>
      </c>
      <c r="D20" s="377">
        <f>SUM(D12:D19)</f>
        <v>426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-1476</v>
      </c>
      <c r="H28" s="375">
        <f>SUM(H29:H31)</f>
        <v>440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803</v>
      </c>
      <c r="H29" s="138">
        <v>803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-2279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-46</v>
      </c>
      <c r="H32" s="138">
        <v>-1916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-1522</v>
      </c>
      <c r="H34" s="377">
        <f>H28+H32+H33</f>
        <v>-1476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-1517</v>
      </c>
      <c r="H37" s="379">
        <f>H26+H18+H34</f>
        <v>-1471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2676</v>
      </c>
      <c r="H49" s="137">
        <v>2285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2676</v>
      </c>
      <c r="H50" s="375">
        <f>SUM(H44:H49)</f>
        <v>2285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</v>
      </c>
      <c r="D55" s="270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445</v>
      </c>
      <c r="D56" s="381">
        <f>D20+D21+D22+D28+D33+D46+D52+D54+D55</f>
        <v>457</v>
      </c>
      <c r="E56" s="87" t="s">
        <v>557</v>
      </c>
      <c r="F56" s="86" t="s">
        <v>172</v>
      </c>
      <c r="G56" s="378">
        <f>G50+G52+G53+G54+G55</f>
        <v>2676</v>
      </c>
      <c r="H56" s="379">
        <f>H50+H52+H53+H54+H55</f>
        <v>2285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596</v>
      </c>
      <c r="D59" s="138">
        <v>594</v>
      </c>
      <c r="E59" s="142" t="s">
        <v>180</v>
      </c>
      <c r="F59" s="277" t="s">
        <v>181</v>
      </c>
      <c r="G59" s="138">
        <v>76</v>
      </c>
      <c r="H59" s="137">
        <v>77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351</v>
      </c>
      <c r="D61" s="138">
        <v>352</v>
      </c>
      <c r="E61" s="141" t="s">
        <v>188</v>
      </c>
      <c r="F61" s="80" t="s">
        <v>189</v>
      </c>
      <c r="G61" s="374">
        <f>SUM(G62:G68)</f>
        <v>1834</v>
      </c>
      <c r="H61" s="375">
        <f>SUM(H62:H68)</f>
        <v>2268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1413</v>
      </c>
      <c r="H62" s="138">
        <v>1762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315</v>
      </c>
      <c r="H64" s="138">
        <v>346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947</v>
      </c>
      <c r="D65" s="377">
        <f>SUM(D59:D64)</f>
        <v>946</v>
      </c>
      <c r="E65" s="76" t="s">
        <v>201</v>
      </c>
      <c r="F65" s="80" t="s">
        <v>202</v>
      </c>
      <c r="G65" s="138">
        <v>54</v>
      </c>
      <c r="H65" s="138">
        <v>55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27</v>
      </c>
      <c r="H66" s="138">
        <v>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8">
        <v>82</v>
      </c>
    </row>
    <row r="68" spans="1:8" ht="15.75">
      <c r="A68" s="76" t="s">
        <v>206</v>
      </c>
      <c r="B68" s="78" t="s">
        <v>207</v>
      </c>
      <c r="C68" s="138">
        <v>88</v>
      </c>
      <c r="D68" s="138">
        <v>88</v>
      </c>
      <c r="E68" s="76" t="s">
        <v>212</v>
      </c>
      <c r="F68" s="80" t="s">
        <v>213</v>
      </c>
      <c r="G68" s="138">
        <f>3+6</f>
        <v>9</v>
      </c>
      <c r="H68" s="138">
        <v>7</v>
      </c>
    </row>
    <row r="69" spans="1:8" ht="15.75">
      <c r="A69" s="76" t="s">
        <v>210</v>
      </c>
      <c r="B69" s="78" t="s">
        <v>211</v>
      </c>
      <c r="C69" s="138">
        <f>330-88</f>
        <v>242</v>
      </c>
      <c r="D69" s="138">
        <v>252</v>
      </c>
      <c r="E69" s="142" t="s">
        <v>79</v>
      </c>
      <c r="F69" s="80" t="s">
        <v>216</v>
      </c>
      <c r="G69" s="138">
        <v>139</v>
      </c>
      <c r="H69" s="138">
        <v>267</v>
      </c>
    </row>
    <row r="70" spans="1:8" ht="15.75">
      <c r="A70" s="76" t="s">
        <v>214</v>
      </c>
      <c r="B70" s="78" t="s">
        <v>215</v>
      </c>
      <c r="C70" s="138">
        <v>3</v>
      </c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2049</v>
      </c>
      <c r="H71" s="377">
        <f>H59+H60+H61+H69+H70</f>
        <v>2612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993+52+337+2</f>
        <v>1384</v>
      </c>
      <c r="D75" s="138">
        <v>1553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1727</v>
      </c>
      <c r="D76" s="377">
        <f>SUM(D68:D75)</f>
        <v>1906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2049</v>
      </c>
      <c r="H79" s="379">
        <f>H71+H73+H75+H77</f>
        <v>2612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63</v>
      </c>
      <c r="D88" s="138">
        <v>87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</v>
      </c>
      <c r="D89" s="138">
        <v>25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82</v>
      </c>
      <c r="D92" s="377">
        <f>SUM(D88:D91)</f>
        <v>112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</v>
      </c>
      <c r="D93" s="270">
        <v>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2761</v>
      </c>
      <c r="D94" s="381">
        <f>D65+D76+D85+D92+D93</f>
        <v>2969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3206</v>
      </c>
      <c r="D95" s="383">
        <f>D94+D56</f>
        <v>3426</v>
      </c>
      <c r="E95" s="169" t="s">
        <v>635</v>
      </c>
      <c r="F95" s="280" t="s">
        <v>268</v>
      </c>
      <c r="G95" s="382">
        <f>G37+G40+G56+G79</f>
        <v>3208</v>
      </c>
      <c r="H95" s="383">
        <f>H37+H40+H56+H79</f>
        <v>3426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"Оптима одит"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2" sqref="C12:D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</v>
      </c>
      <c r="D12" s="256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</v>
      </c>
      <c r="D13" s="256">
        <v>5</v>
      </c>
      <c r="E13" s="135" t="s">
        <v>281</v>
      </c>
      <c r="F13" s="180" t="s">
        <v>282</v>
      </c>
      <c r="G13" s="256">
        <v>3</v>
      </c>
      <c r="H13" s="257">
        <v>2</v>
      </c>
    </row>
    <row r="14" spans="1:8" ht="15.75">
      <c r="A14" s="135" t="s">
        <v>283</v>
      </c>
      <c r="B14" s="131" t="s">
        <v>284</v>
      </c>
      <c r="C14" s="256">
        <v>12</v>
      </c>
      <c r="D14" s="256">
        <v>2</v>
      </c>
      <c r="E14" s="185" t="s">
        <v>285</v>
      </c>
      <c r="F14" s="180" t="s">
        <v>286</v>
      </c>
      <c r="G14" s="256">
        <v>91</v>
      </c>
      <c r="H14" s="257">
        <v>66</v>
      </c>
    </row>
    <row r="15" spans="1:8" ht="15.75">
      <c r="A15" s="135" t="s">
        <v>287</v>
      </c>
      <c r="B15" s="131" t="s">
        <v>288</v>
      </c>
      <c r="C15" s="256">
        <v>76</v>
      </c>
      <c r="D15" s="256">
        <v>41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12</v>
      </c>
      <c r="D16" s="256">
        <v>6</v>
      </c>
      <c r="E16" s="176" t="s">
        <v>52</v>
      </c>
      <c r="F16" s="204" t="s">
        <v>292</v>
      </c>
      <c r="G16" s="407">
        <f>SUM(G12:G15)</f>
        <v>94</v>
      </c>
      <c r="H16" s="408">
        <f>SUM(H12:H15)</f>
        <v>69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137</v>
      </c>
      <c r="D22" s="408">
        <f>SUM(D12:D18)+D19</f>
        <v>61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>
        <v>110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111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140</v>
      </c>
      <c r="D31" s="414">
        <f>D29+D22</f>
        <v>172</v>
      </c>
      <c r="E31" s="191" t="s">
        <v>548</v>
      </c>
      <c r="F31" s="206" t="s">
        <v>331</v>
      </c>
      <c r="G31" s="193">
        <f>G16+G18+G27</f>
        <v>94</v>
      </c>
      <c r="H31" s="194">
        <f>H16+H18+H27</f>
        <v>69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46</v>
      </c>
      <c r="H33" s="408">
        <f>IF((D31-H31)&gt;0,D31-H31,0)</f>
        <v>103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140</v>
      </c>
      <c r="D36" s="416">
        <f>D31-D34+D35</f>
        <v>172</v>
      </c>
      <c r="E36" s="202" t="s">
        <v>346</v>
      </c>
      <c r="F36" s="196" t="s">
        <v>347</v>
      </c>
      <c r="G36" s="207">
        <f>G35-G34+G31</f>
        <v>94</v>
      </c>
      <c r="H36" s="208">
        <f>H35-H34+H31</f>
        <v>69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46</v>
      </c>
      <c r="H37" s="194">
        <f>IF((D36-H36)&gt;0,D36-H36,0)</f>
        <v>103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46</v>
      </c>
      <c r="H42" s="184">
        <f>IF(H37&gt;0,IF(D38+H37&lt;0,0,D38+H37),IF(D37-D38&lt;0,D38-D37,0))</f>
        <v>103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46</v>
      </c>
      <c r="H44" s="208">
        <f>IF(D42=0,IF(H42-H43&gt;0,H42-H43+D43,0),IF(D42-D43&lt;0,D43-D42+H43,0))</f>
        <v>103</v>
      </c>
    </row>
    <row r="45" spans="1:8" ht="16.5" thickBot="1">
      <c r="A45" s="210" t="s">
        <v>371</v>
      </c>
      <c r="B45" s="211" t="s">
        <v>372</v>
      </c>
      <c r="C45" s="409">
        <f>C36+C38+C42</f>
        <v>140</v>
      </c>
      <c r="D45" s="410">
        <f>D36+D38+D42</f>
        <v>172</v>
      </c>
      <c r="E45" s="210" t="s">
        <v>373</v>
      </c>
      <c r="F45" s="212" t="s">
        <v>374</v>
      </c>
      <c r="G45" s="409">
        <f>G42+G36</f>
        <v>140</v>
      </c>
      <c r="H45" s="410">
        <f>H42+H36</f>
        <v>172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"Оптима одит"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158</v>
      </c>
      <c r="D11" s="138">
        <v>41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-408</f>
        <v>-408</v>
      </c>
      <c r="D12" s="138">
        <v>-21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-135</v>
      </c>
      <c r="D14" s="138">
        <v>-28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-15-6</f>
        <v>-21</v>
      </c>
      <c r="D15" s="138">
        <v>-631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-75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-7</v>
      </c>
      <c r="D18" s="138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418-35</f>
        <v>383</v>
      </c>
      <c r="D20" s="138">
        <v>683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-30</v>
      </c>
      <c r="D21" s="438">
        <f>SUM(D11:D20)</f>
        <v>-37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-30</v>
      </c>
      <c r="D44" s="247">
        <f>D43+D33+D21</f>
        <v>-37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112</v>
      </c>
      <c r="D45" s="249">
        <v>96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82</v>
      </c>
      <c r="D46" s="251">
        <f>D45+D44</f>
        <v>59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82</v>
      </c>
      <c r="D47" s="238">
        <v>59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"Оптима одит"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">
      <selection activeCell="C13" sqref="C13:M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-1113</v>
      </c>
      <c r="J13" s="363">
        <f>'1-Баланс'!H30+'1-Баланс'!H33</f>
        <v>-363</v>
      </c>
      <c r="K13" s="364"/>
      <c r="L13" s="363">
        <f>SUM(C13:K13)</f>
        <v>-1471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-1113</v>
      </c>
      <c r="J17" s="432">
        <f t="shared" si="2"/>
        <v>-363</v>
      </c>
      <c r="K17" s="432">
        <f t="shared" si="2"/>
        <v>0</v>
      </c>
      <c r="L17" s="363">
        <f t="shared" si="1"/>
        <v>-1471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-46</v>
      </c>
      <c r="J18" s="363">
        <f>+'1-Баланс'!G33</f>
        <v>0</v>
      </c>
      <c r="K18" s="364"/>
      <c r="L18" s="363">
        <f t="shared" si="1"/>
        <v>-46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-1159</v>
      </c>
      <c r="J31" s="432">
        <f t="shared" si="6"/>
        <v>-363</v>
      </c>
      <c r="K31" s="432">
        <f t="shared" si="6"/>
        <v>0</v>
      </c>
      <c r="L31" s="363">
        <f t="shared" si="1"/>
        <v>-1517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-1159</v>
      </c>
      <c r="J34" s="366">
        <f t="shared" si="7"/>
        <v>-363</v>
      </c>
      <c r="K34" s="366">
        <f t="shared" si="7"/>
        <v>0</v>
      </c>
      <c r="L34" s="430">
        <f t="shared" si="1"/>
        <v>-1517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"Оптима одит"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5" zoomScaleNormal="55" zoomScaleSheetLayoutView="70" workbookViewId="0" topLeftCell="A1">
      <selection activeCell="C12" sqref="C12:F14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/>
      <c r="C12" s="79">
        <v>10</v>
      </c>
      <c r="D12" s="79">
        <v>100</v>
      </c>
      <c r="E12" s="79"/>
      <c r="F12" s="260">
        <f>C12-E12</f>
        <v>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</v>
      </c>
      <c r="D27" s="263"/>
      <c r="E27" s="263">
        <f>SUM(E12:E26)</f>
        <v>0</v>
      </c>
      <c r="F27" s="263">
        <f>SUM(F12:F26)</f>
        <v>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"Оптима одит"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3206</v>
      </c>
      <c r="D6" s="454">
        <f aca="true" t="shared" si="0" ref="D6:D15">C6-E6</f>
        <v>-2</v>
      </c>
      <c r="E6" s="453">
        <f>'1-Баланс'!G95</f>
        <v>3208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-1517</v>
      </c>
      <c r="D7" s="454">
        <f t="shared" si="0"/>
        <v>-1522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46</v>
      </c>
      <c r="D8" s="454">
        <f t="shared" si="0"/>
        <v>92</v>
      </c>
      <c r="E8" s="453">
        <f>ABS('2-Отчет за доходите'!C44)-ABS('2-Отчет за доходите'!G44)</f>
        <v>-46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112</v>
      </c>
      <c r="D9" s="454">
        <f t="shared" si="0"/>
        <v>0</v>
      </c>
      <c r="E9" s="453">
        <f>'3-Отчет за паричния поток'!C45</f>
        <v>112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82</v>
      </c>
      <c r="D10" s="454">
        <f t="shared" si="0"/>
        <v>0</v>
      </c>
      <c r="E10" s="453">
        <f>'3-Отчет за паричния поток'!C46</f>
        <v>82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-1517</v>
      </c>
      <c r="D11" s="454">
        <f t="shared" si="0"/>
        <v>0</v>
      </c>
      <c r="E11" s="453">
        <f>'4-Отчет за собствения капитал'!L34</f>
        <v>-1517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10</v>
      </c>
      <c r="D12" s="454">
        <f t="shared" si="0"/>
        <v>0</v>
      </c>
      <c r="E12" s="453">
        <f>'Справка 5'!C27+'Справка 5'!C97</f>
        <v>10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0.48936170212765956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-0.03032300593276203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0.009735449735449736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0.014348097317529632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0.6714285714285714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1.347486578818936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0.8828696925329429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0.04001952171791118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0.04001952171791118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0.06906686260102865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0.029320024953212728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2.3088869715271785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-3.114700065919578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1.4737991266375545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-0.0013183915622940012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0.14893617021276595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337.5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330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79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414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445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596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351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947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88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242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1384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1727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63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2761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3206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-1476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803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-2279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-46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-1522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-1517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2676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2676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2676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76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1834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1413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315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54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139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2049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2049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76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137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140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140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140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91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94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94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46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94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46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46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46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158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-408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-135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-7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383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112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82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82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-1113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-1113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-46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-1159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-1159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-363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-363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-1471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-1471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-46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-1517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-1517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2020-05-07T08:40:29Z</dcterms:modified>
  <cp:category/>
  <cp:version/>
  <cp:contentType/>
  <cp:contentStatus/>
</cp:coreProperties>
</file>